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<sst xmlns="http://schemas.openxmlformats.org/spreadsheetml/2006/main" count="126" uniqueCount="123">
  <si>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</si>
  <si>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</si>
  <si>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</si>
  <si>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</si>
  <si>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</si>
  <si>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</si>
  <si>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</si>
  <si>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</si>
  <si>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</si>
  <si>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</si>
  <si>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</si>
  <si>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</si>
  <si>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</si>
  <si>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</si>
  <si>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</si>
  <si>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</si>
  <si>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</si>
  <si>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</si>
  <si>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</si>
  <si>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</si>
  <si>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</si>
  <si>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</si>
  <si>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</si>
  <si>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</si>
  <si>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</si>
  <si>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</si>
  <si>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</si>
  <si>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</si>
  <si>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</si>
  <si>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</si>
  <si>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</si>
  <si>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</si>
  <si>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</si>
  <si>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</si>
  <si>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</si>
  <si>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</si>
  <si>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</si>
  <si>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</si>
  <si>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</si>
  <si>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</si>
  <si>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</si>
  <si>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</si>
  <si>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</si>
  <si>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</si>
  <si>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</si>
  <si>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</si>
  <si>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</si>
  <si>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</si>
  <si>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</si>
  <si>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</si>
  <si>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</si>
  <si>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</si>
  <si>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</si>
  <si>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</si>
  <si>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</si>
  <si>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</si>
  <si>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</si>
  <si>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</si>
  <si>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</si>
  <si>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</si>
  <si>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</si>
  <si>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</si>
  <si>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</si>
  <si>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</si>
  <si>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</si>
  <si>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</si>
  <si>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</si>
  <si>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</si>
  <si>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</si>
  <si>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</si>
  <si>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</si>
  <si>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</si>
  <si>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</si>
  <si>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</si>
  <si>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</si>
  <si>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</si>
  <si>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</si>
  <si>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</si>
  <si>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</si>
  <si>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</si>
  <si>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</si>
  <si>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</si>
  <si>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</si>
  <si>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</si>
  <si>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</si>
  <si>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</si>
  <si>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</si>
  <si>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</si>
  <si>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</si>
  <si>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</si>
  <si>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</si>
  <si>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</si>
  <si>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</si>
  <si>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</si>
  <si>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</si>
  <si>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</si>
  <si>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</si>
  <si>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</si>
  <si>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</si>
  <si>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</si>
  <si>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</si>
  <si>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</si>
  <si>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</si>
  <si>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</si>
  <si>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</si>
  <si>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</si>
  <si>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</si>
  <si>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</si>
  <si>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</si>
  <si>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</si>
  <si>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</si>
  <si>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</si>
  <si>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</si>
  <si>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</si>
  <si>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</si>
  <si>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</si>
  <si>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</si>
  <si>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</si>
  <si>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</si>
  <si>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</si>
  <si>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</si>
  <si>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</si>
  <si>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18.07.16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</si>
</sst>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8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AL21" sqref="AL21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customWidth="1"/>
    <col min="27" max="16384" width="9.33203125" style="7" customWidth="1"/>
  </cols>
  <sheetData>
    <row r="1" spans="1:8" ht="21" customHeight="1">
      <c r="A1" s="89" t="s">
        <v>11</v>
      </c>
      <c r="B1" s="89"/>
      <c r="C1" s="89"/>
      <c r="D1" s="89"/>
      <c r="E1" s="89"/>
      <c r="F1" s="89"/>
      <c r="G1" s="89"/>
      <c r="H1" s="89"/>
    </row>
    <row r="2" spans="1:8" ht="20.25" customHeight="1">
      <c r="A2" s="90" t="s">
        <v>12</v>
      </c>
      <c r="B2" s="90"/>
      <c r="C2" s="90"/>
      <c r="D2" s="90"/>
      <c r="E2" s="90"/>
      <c r="F2" s="90"/>
      <c r="G2" s="90"/>
      <c r="H2" s="90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2" t="s">
        <v>8</v>
      </c>
      <c r="B4" s="12"/>
      <c r="C4" s="92" t="s">
        <v>14</v>
      </c>
      <c r="D4" s="91" t="s">
        <v>15</v>
      </c>
      <c r="E4" s="91" t="s">
        <v>0</v>
      </c>
      <c r="F4" s="91" t="s">
        <v>1</v>
      </c>
      <c r="G4" s="14" t="s">
        <v>2</v>
      </c>
      <c r="H4" s="91" t="s">
        <v>122</v>
      </c>
      <c r="I4" s="78" t="s">
        <v>42</v>
      </c>
      <c r="J4" s="78" t="s">
        <v>120</v>
      </c>
      <c r="K4" s="83" t="s">
        <v>121</v>
      </c>
      <c r="L4" s="78" t="s">
        <v>43</v>
      </c>
      <c r="M4" s="78" t="s">
        <v>44</v>
      </c>
      <c r="N4" s="78" t="s">
        <v>45</v>
      </c>
      <c r="O4" s="78" t="s">
        <v>46</v>
      </c>
      <c r="P4" s="78" t="s">
        <v>47</v>
      </c>
      <c r="Q4" s="78" t="s">
        <v>48</v>
      </c>
      <c r="R4" s="78" t="s">
        <v>49</v>
      </c>
      <c r="S4" s="78" t="s">
        <v>50</v>
      </c>
      <c r="T4" s="78" t="s">
        <v>51</v>
      </c>
      <c r="U4" s="78" t="s">
        <v>52</v>
      </c>
      <c r="V4" s="78" t="s">
        <v>53</v>
      </c>
      <c r="W4" s="78" t="s">
        <v>54</v>
      </c>
      <c r="X4" s="78" t="s">
        <v>55</v>
      </c>
    </row>
    <row r="5" spans="1:24" ht="55.5" customHeight="1">
      <c r="A5" s="92"/>
      <c r="B5" s="15" t="s">
        <v>9</v>
      </c>
      <c r="C5" s="92"/>
      <c r="D5" s="91"/>
      <c r="E5" s="91"/>
      <c r="F5" s="91"/>
      <c r="G5" s="13" t="s">
        <v>7</v>
      </c>
      <c r="H5" s="91"/>
      <c r="I5" s="79"/>
      <c r="J5" s="85"/>
      <c r="K5" s="84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79"/>
      <c r="K6" s="52"/>
    </row>
    <row r="7" spans="1:25" s="16" customFormat="1" ht="19.5" customHeight="1">
      <c r="A7" s="80" t="s">
        <v>16</v>
      </c>
      <c r="B7" s="81"/>
      <c r="C7" s="81"/>
      <c r="D7" s="81"/>
      <c r="E7" s="81"/>
      <c r="F7" s="81"/>
      <c r="G7" s="81"/>
      <c r="H7" s="81"/>
      <c r="I7" s="82"/>
      <c r="J7" s="77"/>
      <c r="K7" s="53"/>
      <c r="Y7" s="75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67287495.32</v>
      </c>
      <c r="I8" s="72">
        <f>H8/D8*100</f>
        <v>56.03088079987999</v>
      </c>
      <c r="J8" s="76">
        <f>H8/(L8+M8+N8+O8+P8+Q8+R8+N23+O23+P23+Q23+R23)*100</f>
        <v>79.72616024473056</v>
      </c>
      <c r="K8" s="69">
        <f>K9+K15</f>
        <v>6142938.46</v>
      </c>
      <c r="L8" s="69">
        <f>L9+L15</f>
        <v>112816</v>
      </c>
      <c r="M8" s="69">
        <f aca="true" t="shared" si="0" ref="M8:X8">M9+M15</f>
        <v>1300000</v>
      </c>
      <c r="N8" s="69">
        <f t="shared" si="0"/>
        <v>3700000</v>
      </c>
      <c r="O8" s="69">
        <f t="shared" si="0"/>
        <v>8500000</v>
      </c>
      <c r="P8" s="69">
        <f t="shared" si="0"/>
        <v>4469971.76</v>
      </c>
      <c r="Q8" s="69">
        <f t="shared" si="0"/>
        <v>5516190</v>
      </c>
      <c r="R8" s="69">
        <f t="shared" si="0"/>
        <v>2467079.39</v>
      </c>
      <c r="S8" s="69">
        <f t="shared" si="0"/>
        <v>2479622</v>
      </c>
      <c r="T8" s="69">
        <f t="shared" si="0"/>
        <v>1720935</v>
      </c>
      <c r="U8" s="69">
        <f t="shared" si="0"/>
        <v>473444</v>
      </c>
      <c r="V8" s="69">
        <f t="shared" si="0"/>
        <v>305286.11</v>
      </c>
      <c r="W8" s="69">
        <f t="shared" si="0"/>
        <v>91274.6</v>
      </c>
      <c r="X8" s="69">
        <f t="shared" si="0"/>
        <v>31136618.86</v>
      </c>
      <c r="Y8" s="75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19923118.689999998</v>
      </c>
      <c r="I9" s="23">
        <f>H9/D9*100</f>
        <v>63.9861340744176</v>
      </c>
      <c r="J9" s="74">
        <f>H9/(L8+M8+N8+O8+P8+Q8+R8)*100</f>
        <v>76.4331888607096</v>
      </c>
      <c r="K9" s="23">
        <f>L9+M9+N9+O9+P9+Q9+R9-H10-H11-H12-H13-H14</f>
        <v>3161735.0299999993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5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9">
        <f>H10/D10*100</f>
        <v>82.61484940506607</v>
      </c>
      <c r="J10" s="86">
        <f>(H10+H11+H12+H13+H14)/(L9+M9+N9+O9+P9+Q9+R9)*100</f>
        <v>81.84465140998618</v>
      </c>
      <c r="K10" s="54">
        <f>E10-H10</f>
        <v>2381591.7799999993</v>
      </c>
      <c r="Y10" s="75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49"/>
      <c r="J11" s="87"/>
      <c r="K11" s="54">
        <f>E11-H11</f>
        <v>461476.0799999996</v>
      </c>
      <c r="Y11" s="75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49">
        <f aca="true" t="shared" si="1" ref="I12:I22">H12/D12*100</f>
        <v>77.82888064246436</v>
      </c>
      <c r="J12" s="87"/>
      <c r="K12" s="54">
        <f>E12-H12</f>
        <v>596501.2800000003</v>
      </c>
      <c r="Y12" s="75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49">
        <f t="shared" si="1"/>
        <v>38.36555</v>
      </c>
      <c r="J13" s="87"/>
      <c r="K13" s="54">
        <f>E13-H13</f>
        <v>1232689</v>
      </c>
      <c r="Y13" s="75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9">
        <f t="shared" si="1"/>
        <v>24.833333333333332</v>
      </c>
      <c r="J14" s="88"/>
      <c r="K14" s="54">
        <f>E14-H14</f>
        <v>225500</v>
      </c>
      <c r="Y14" s="75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5669957.97</v>
      </c>
      <c r="I15" s="49">
        <f t="shared" si="1"/>
        <v>47.30602276045621</v>
      </c>
      <c r="J15" s="86">
        <f>H15/(L15+M15+N15+O15+P15+Q15+R15)*100</f>
        <v>65.53984728570663</v>
      </c>
      <c r="K15" s="55">
        <f>L15+M15+N15+O15+P15+Q15+R15-H15</f>
        <v>2981203.4300000006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5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</f>
        <v>2451615.2100000004</v>
      </c>
      <c r="I16" s="50">
        <f>H16/D16*100</f>
        <v>59.890441187248086</v>
      </c>
      <c r="J16" s="87"/>
      <c r="K16" s="68"/>
      <c r="Y16" s="75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0">
        <f>H17/D17*100</f>
        <v>47.38830993317816</v>
      </c>
      <c r="J17" s="87"/>
      <c r="K17" s="68"/>
      <c r="Y17" s="75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6"/>
      <c r="I18" s="50"/>
      <c r="J18" s="87"/>
      <c r="K18" s="68"/>
      <c r="Y18" s="75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128728.47+4200+9322.5+26497.92+3440+5590+58700.13+2532.5+23991.58+2600+7533.5+73825+19431.03+2080+81725.75+62856.25+16705.51+11001.5</f>
        <v>540761.64</v>
      </c>
      <c r="I19" s="50">
        <f t="shared" si="1"/>
        <v>66.01900134293737</v>
      </c>
      <c r="J19" s="87"/>
      <c r="K19" s="68"/>
      <c r="Y19" s="75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50"/>
      <c r="J20" s="87"/>
      <c r="K20" s="68"/>
      <c r="Y20" s="75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0">
        <f t="shared" si="1"/>
        <v>10.338835768038955</v>
      </c>
      <c r="J21" s="87"/>
      <c r="K21" s="68"/>
      <c r="Y21" s="75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0">
        <f t="shared" si="1"/>
        <v>2.5264381270903007</v>
      </c>
      <c r="J22" s="88"/>
      <c r="K22" s="68"/>
      <c r="Y22" s="75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47364376.63</v>
      </c>
      <c r="I23" s="48">
        <f>H23/D23*100</f>
        <v>53.246280220879704</v>
      </c>
      <c r="J23" s="74">
        <f>H23/(L23+M23+N23+O23+P23+Q23+R23)*100</f>
        <v>81.19764203332818</v>
      </c>
      <c r="K23" s="55">
        <f>L23+M23+N23+O23+P23+Q23+R23-H23</f>
        <v>10967830.369999997</v>
      </c>
      <c r="L23" s="67">
        <f aca="true" t="shared" si="3" ref="L23:X23">SUM(L24:L48)</f>
        <v>0</v>
      </c>
      <c r="M23" s="67">
        <f t="shared" si="3"/>
        <v>0</v>
      </c>
      <c r="N23" s="67">
        <f t="shared" si="3"/>
        <v>6140000</v>
      </c>
      <c r="O23" s="67">
        <f t="shared" si="3"/>
        <v>14486801.99</v>
      </c>
      <c r="P23" s="67">
        <f t="shared" si="3"/>
        <v>13603977.01</v>
      </c>
      <c r="Q23" s="67">
        <f t="shared" si="3"/>
        <v>3418235.38</v>
      </c>
      <c r="R23" s="67">
        <f t="shared" si="3"/>
        <v>20683192.62</v>
      </c>
      <c r="S23" s="67">
        <f t="shared" si="3"/>
        <v>9460927</v>
      </c>
      <c r="T23" s="67">
        <f t="shared" si="3"/>
        <v>2446582.25</v>
      </c>
      <c r="U23" s="67">
        <f t="shared" si="3"/>
        <v>9634229.57</v>
      </c>
      <c r="V23" s="67">
        <f t="shared" si="3"/>
        <v>4831115.18</v>
      </c>
      <c r="W23" s="67">
        <f t="shared" si="3"/>
        <v>4248339</v>
      </c>
      <c r="X23" s="67">
        <f t="shared" si="3"/>
        <v>88953400</v>
      </c>
      <c r="Y23" s="75">
        <f>D23-X23</f>
        <v>0</v>
      </c>
    </row>
    <row r="24" spans="1:25" ht="26.25" customHeight="1">
      <c r="A24" s="1"/>
      <c r="B24" s="21"/>
      <c r="C24" s="57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9">
        <f>H24/D24*100</f>
        <v>40.476190476190474</v>
      </c>
      <c r="J24" s="73">
        <f>H24/(L24+M24+N24+O24+P24+Q24+R24)*100</f>
        <v>40.476190476190474</v>
      </c>
      <c r="K24" s="55">
        <f aca="true" t="shared" si="4" ref="K24:K48">L24+M24+N24+O24+P24+Q24+R24-H24</f>
        <v>250000</v>
      </c>
      <c r="L24" s="56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6">
        <f>SUM(L24:W24)</f>
        <v>420000</v>
      </c>
      <c r="Y24" s="75">
        <f>D24-X24</f>
        <v>0</v>
      </c>
    </row>
    <row r="25" spans="1:25" ht="34.5" customHeight="1">
      <c r="A25" s="1"/>
      <c r="B25" s="21"/>
      <c r="C25" s="57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8"/>
      <c r="J25" s="73"/>
      <c r="K25" s="55">
        <f t="shared" si="4"/>
        <v>0</v>
      </c>
      <c r="L25" s="56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6">
        <f aca="true" t="shared" si="7" ref="X25:X48">SUM(L25:W25)</f>
        <v>90000</v>
      </c>
      <c r="Y25" s="75">
        <f aca="true" t="shared" si="8" ref="Y25:Y88">D25-X25</f>
        <v>0</v>
      </c>
    </row>
    <row r="26" spans="1:25" ht="27" customHeight="1">
      <c r="A26" s="1"/>
      <c r="B26" s="21"/>
      <c r="C26" s="57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8"/>
      <c r="J26" s="73"/>
      <c r="K26" s="55">
        <f t="shared" si="4"/>
        <v>40000</v>
      </c>
      <c r="L26" s="56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6">
        <f t="shared" si="7"/>
        <v>40000</v>
      </c>
      <c r="Y26" s="75">
        <f t="shared" si="8"/>
        <v>0</v>
      </c>
    </row>
    <row r="27" spans="1:25" ht="23.25" customHeight="1">
      <c r="A27" s="1"/>
      <c r="B27" s="21"/>
      <c r="C27" s="57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9">
        <f>H27/D27*100</f>
        <v>57.324840764331206</v>
      </c>
      <c r="J27" s="73">
        <f aca="true" t="shared" si="9" ref="J27:J89">H27/(L27+M27+N27+O27+P27+Q27+R27)*100</f>
        <v>57.324840764331206</v>
      </c>
      <c r="K27" s="55">
        <f t="shared" si="4"/>
        <v>201000</v>
      </c>
      <c r="L27" s="56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6">
        <f t="shared" si="7"/>
        <v>471000</v>
      </c>
      <c r="Y27" s="75">
        <f t="shared" si="8"/>
        <v>0</v>
      </c>
    </row>
    <row r="28" spans="1:25" ht="23.25" customHeight="1">
      <c r="A28" s="1"/>
      <c r="B28" s="21"/>
      <c r="C28" s="57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9">
        <f>H28/D28*100</f>
        <v>82.8125</v>
      </c>
      <c r="J28" s="73">
        <f t="shared" si="9"/>
        <v>82.8125</v>
      </c>
      <c r="K28" s="55">
        <f t="shared" si="4"/>
        <v>55000</v>
      </c>
      <c r="L28" s="56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6">
        <f t="shared" si="7"/>
        <v>320000</v>
      </c>
      <c r="Y28" s="75">
        <f t="shared" si="8"/>
        <v>0</v>
      </c>
    </row>
    <row r="29" spans="1:25" ht="21" customHeight="1">
      <c r="A29" s="1"/>
      <c r="B29" s="21"/>
      <c r="C29" s="57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9">
        <f>H29/D29*100</f>
        <v>72.8</v>
      </c>
      <c r="J29" s="73">
        <f t="shared" si="9"/>
        <v>72.8</v>
      </c>
      <c r="K29" s="55">
        <f t="shared" si="4"/>
        <v>68000</v>
      </c>
      <c r="L29" s="56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6">
        <f t="shared" si="7"/>
        <v>250000</v>
      </c>
      <c r="Y29" s="75">
        <f t="shared" si="8"/>
        <v>0</v>
      </c>
    </row>
    <row r="30" spans="1:25" ht="21" customHeight="1">
      <c r="A30" s="1"/>
      <c r="B30" s="21"/>
      <c r="C30" s="57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9"/>
      <c r="J30" s="73">
        <f t="shared" si="9"/>
        <v>0</v>
      </c>
      <c r="K30" s="55">
        <f t="shared" si="4"/>
        <v>700000</v>
      </c>
      <c r="L30" s="56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6">
        <f t="shared" si="7"/>
        <v>700000</v>
      </c>
      <c r="Y30" s="75">
        <f t="shared" si="8"/>
        <v>0</v>
      </c>
    </row>
    <row r="31" spans="1:25" ht="24" customHeight="1">
      <c r="A31" s="1"/>
      <c r="B31" s="21"/>
      <c r="C31" s="57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8"/>
      <c r="J31" s="73"/>
      <c r="K31" s="55">
        <f t="shared" si="4"/>
        <v>0</v>
      </c>
      <c r="L31" s="56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6">
        <f t="shared" si="7"/>
        <v>291000</v>
      </c>
      <c r="Y31" s="75">
        <f t="shared" si="8"/>
        <v>0</v>
      </c>
    </row>
    <row r="32" spans="1:25" ht="24" customHeight="1">
      <c r="A32" s="1"/>
      <c r="B32" s="21"/>
      <c r="C32" s="57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9">
        <f>H32/D32*100</f>
        <v>63.857142857142854</v>
      </c>
      <c r="J32" s="73">
        <f t="shared" si="9"/>
        <v>98.96803133323444</v>
      </c>
      <c r="K32" s="55">
        <f t="shared" si="4"/>
        <v>4661</v>
      </c>
      <c r="L32" s="56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6">
        <f>SUM(L32:W32)</f>
        <v>700000</v>
      </c>
      <c r="Y32" s="75">
        <f t="shared" si="8"/>
        <v>0</v>
      </c>
    </row>
    <row r="33" spans="1:25" ht="24.75" customHeight="1">
      <c r="A33" s="1"/>
      <c r="B33" s="21"/>
      <c r="C33" s="57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9"/>
      <c r="J33" s="73"/>
      <c r="K33" s="55">
        <f t="shared" si="4"/>
        <v>0</v>
      </c>
      <c r="L33" s="56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6">
        <f t="shared" si="7"/>
        <v>80000</v>
      </c>
      <c r="Y33" s="75">
        <f t="shared" si="8"/>
        <v>0</v>
      </c>
    </row>
    <row r="34" spans="1:25" ht="21" customHeight="1">
      <c r="A34" s="1"/>
      <c r="B34" s="21"/>
      <c r="C34" s="57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9">
        <f>H34/D34*100</f>
        <v>3.7714285714285714</v>
      </c>
      <c r="J34" s="73">
        <f t="shared" si="9"/>
        <v>6.191369606003752</v>
      </c>
      <c r="K34" s="55">
        <f t="shared" si="4"/>
        <v>4000000</v>
      </c>
      <c r="L34" s="56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6">
        <f t="shared" si="7"/>
        <v>7000000</v>
      </c>
      <c r="Y34" s="75">
        <f t="shared" si="8"/>
        <v>0</v>
      </c>
    </row>
    <row r="35" spans="1:25" ht="26.25" customHeight="1">
      <c r="A35" s="1"/>
      <c r="B35" s="21"/>
      <c r="C35" s="57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9"/>
      <c r="J35" s="73"/>
      <c r="K35" s="55">
        <f t="shared" si="4"/>
        <v>0</v>
      </c>
      <c r="L35" s="56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6">
        <f t="shared" si="7"/>
        <v>60000</v>
      </c>
      <c r="Y35" s="75">
        <f t="shared" si="8"/>
        <v>0</v>
      </c>
    </row>
    <row r="36" spans="1:25" ht="26.25" customHeight="1">
      <c r="A36" s="1"/>
      <c r="B36" s="21"/>
      <c r="C36" s="57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9"/>
      <c r="J36" s="73">
        <f t="shared" si="9"/>
        <v>0</v>
      </c>
      <c r="K36" s="55">
        <f t="shared" si="4"/>
        <v>20000</v>
      </c>
      <c r="L36" s="56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6">
        <f t="shared" si="7"/>
        <v>90000</v>
      </c>
      <c r="Y36" s="75">
        <f t="shared" si="8"/>
        <v>0</v>
      </c>
    </row>
    <row r="37" spans="1:25" ht="26.25" customHeight="1">
      <c r="A37" s="1"/>
      <c r="B37" s="21"/>
      <c r="C37" s="57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9"/>
      <c r="J37" s="73"/>
      <c r="K37" s="55">
        <f t="shared" si="4"/>
        <v>0</v>
      </c>
      <c r="L37" s="56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6">
        <f t="shared" si="7"/>
        <v>50000</v>
      </c>
      <c r="Y37" s="75">
        <f t="shared" si="8"/>
        <v>0</v>
      </c>
    </row>
    <row r="38" spans="1:25" ht="23.25" customHeight="1">
      <c r="A38" s="1"/>
      <c r="B38" s="21"/>
      <c r="C38" s="57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9">
        <f aca="true" t="shared" si="10" ref="I38:I44">H38/D38*100</f>
        <v>50.43478260869565</v>
      </c>
      <c r="J38" s="73">
        <f t="shared" si="9"/>
        <v>99.31506849315068</v>
      </c>
      <c r="K38" s="55">
        <f t="shared" si="4"/>
        <v>80000</v>
      </c>
      <c r="L38" s="56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6">
        <f t="shared" si="7"/>
        <v>23000000</v>
      </c>
      <c r="Y38" s="75">
        <f t="shared" si="8"/>
        <v>0</v>
      </c>
    </row>
    <row r="39" spans="1:25" ht="22.5" customHeight="1">
      <c r="A39" s="1"/>
      <c r="B39" s="21"/>
      <c r="C39" s="57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9">
        <f t="shared" si="10"/>
        <v>7.8412655120687305</v>
      </c>
      <c r="J39" s="73">
        <f t="shared" si="9"/>
        <v>16.872065727699532</v>
      </c>
      <c r="K39" s="55">
        <f t="shared" si="4"/>
        <v>566600</v>
      </c>
      <c r="L39" s="56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6">
        <f t="shared" si="7"/>
        <v>1466600</v>
      </c>
      <c r="Y39" s="75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</f>
        <v>19165968.380000003</v>
      </c>
      <c r="I40" s="49">
        <f t="shared" si="10"/>
        <v>87.57566072531739</v>
      </c>
      <c r="J40" s="73">
        <f t="shared" si="9"/>
        <v>92.29373214924027</v>
      </c>
      <c r="K40" s="55">
        <f t="shared" si="4"/>
        <v>1600304.6199999973</v>
      </c>
      <c r="L40" s="56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6">
        <f t="shared" si="7"/>
        <v>21885040</v>
      </c>
      <c r="Y40" s="75">
        <f t="shared" si="8"/>
        <v>0</v>
      </c>
    </row>
    <row r="41" spans="1:25" ht="23.25" customHeight="1">
      <c r="A41" s="1"/>
      <c r="B41" s="21"/>
      <c r="C41" s="57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9">
        <f t="shared" si="10"/>
        <v>71.44200000000001</v>
      </c>
      <c r="J41" s="73">
        <f t="shared" si="9"/>
        <v>79.38</v>
      </c>
      <c r="K41" s="55">
        <f t="shared" si="4"/>
        <v>927900</v>
      </c>
      <c r="L41" s="56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6">
        <f t="shared" si="7"/>
        <v>5000000</v>
      </c>
      <c r="Y41" s="75">
        <f t="shared" si="8"/>
        <v>0</v>
      </c>
    </row>
    <row r="42" spans="1:25" ht="23.25" customHeight="1">
      <c r="A42" s="1"/>
      <c r="B42" s="21"/>
      <c r="C42" s="57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</f>
        <v>3689466.9</v>
      </c>
      <c r="I42" s="49">
        <f t="shared" si="10"/>
        <v>73.78933799999999</v>
      </c>
      <c r="J42" s="73">
        <f t="shared" si="9"/>
        <v>89.5936595434677</v>
      </c>
      <c r="K42" s="55">
        <f t="shared" si="4"/>
        <v>428533.1000000001</v>
      </c>
      <c r="L42" s="56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6">
        <f t="shared" si="7"/>
        <v>5000000</v>
      </c>
      <c r="Y42" s="75">
        <f t="shared" si="8"/>
        <v>0</v>
      </c>
    </row>
    <row r="43" spans="1:25" ht="23.25" customHeight="1">
      <c r="A43" s="1"/>
      <c r="B43" s="21"/>
      <c r="C43" s="57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9">
        <f t="shared" si="10"/>
        <v>70.46666666666667</v>
      </c>
      <c r="J43" s="73">
        <f t="shared" si="9"/>
        <v>70.46666666666667</v>
      </c>
      <c r="K43" s="55">
        <f t="shared" si="4"/>
        <v>443000</v>
      </c>
      <c r="L43" s="56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6">
        <f t="shared" si="7"/>
        <v>1500000</v>
      </c>
      <c r="Y43" s="75">
        <f t="shared" si="8"/>
        <v>0</v>
      </c>
    </row>
    <row r="44" spans="1:25" ht="42" customHeight="1">
      <c r="A44" s="1"/>
      <c r="B44" s="21"/>
      <c r="C44" s="57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9">
        <f t="shared" si="10"/>
        <v>61.42857142857143</v>
      </c>
      <c r="J44" s="73">
        <f t="shared" si="9"/>
        <v>100</v>
      </c>
      <c r="K44" s="55">
        <f t="shared" si="4"/>
        <v>0</v>
      </c>
      <c r="L44" s="56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6">
        <f t="shared" si="7"/>
        <v>1750000</v>
      </c>
      <c r="Y44" s="75">
        <f t="shared" si="8"/>
        <v>0</v>
      </c>
    </row>
    <row r="45" spans="1:25" ht="18.75">
      <c r="A45" s="1"/>
      <c r="B45" s="21"/>
      <c r="C45" s="57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9"/>
      <c r="J45" s="73"/>
      <c r="K45" s="55">
        <f t="shared" si="4"/>
        <v>0</v>
      </c>
      <c r="L45" s="56"/>
      <c r="M45" s="45"/>
      <c r="N45" s="45"/>
      <c r="O45" s="45"/>
      <c r="P45" s="45"/>
      <c r="Q45" s="45"/>
      <c r="R45" s="56"/>
      <c r="S45" s="56"/>
      <c r="T45" s="56">
        <v>89760</v>
      </c>
      <c r="U45" s="56"/>
      <c r="V45" s="56"/>
      <c r="W45" s="56"/>
      <c r="X45" s="66">
        <f t="shared" si="7"/>
        <v>89760</v>
      </c>
      <c r="Y45" s="75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3263175+1196936+1083633.68+1062941-1383336+29005.67+48813</f>
        <v>5301168.35</v>
      </c>
      <c r="I46" s="49">
        <f>H46/D46*100</f>
        <v>79.12191567164179</v>
      </c>
      <c r="J46" s="73">
        <f t="shared" si="9"/>
        <v>79.12191567164179</v>
      </c>
      <c r="K46" s="55">
        <f t="shared" si="4"/>
        <v>1398831.6500000004</v>
      </c>
      <c r="L46" s="63"/>
      <c r="M46" s="45"/>
      <c r="N46" s="45">
        <v>4000000</v>
      </c>
      <c r="O46" s="45">
        <v>2700000</v>
      </c>
      <c r="P46" s="45"/>
      <c r="Q46" s="45"/>
      <c r="R46" s="63"/>
      <c r="S46" s="63"/>
      <c r="T46" s="63"/>
      <c r="U46" s="63"/>
      <c r="V46" s="63"/>
      <c r="W46" s="63"/>
      <c r="X46" s="66">
        <f t="shared" si="7"/>
        <v>6700000</v>
      </c>
      <c r="Y46" s="75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9">
        <f>H47/D47*100</f>
        <v>2.35066</v>
      </c>
      <c r="J47" s="73">
        <f t="shared" si="9"/>
        <v>100</v>
      </c>
      <c r="K47" s="55">
        <f t="shared" si="4"/>
        <v>0</v>
      </c>
      <c r="L47" s="63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3">
        <f>879000-879133</f>
        <v>-133</v>
      </c>
      <c r="S47" s="63">
        <f>1869000</f>
        <v>1869000</v>
      </c>
      <c r="T47" s="63">
        <f>7621.25</f>
        <v>7621.25</v>
      </c>
      <c r="U47" s="63">
        <f>2134334+701511.75</f>
        <v>2835845.75</v>
      </c>
      <c r="V47" s="63">
        <f>170000</f>
        <v>170000</v>
      </c>
      <c r="W47" s="63"/>
      <c r="X47" s="66">
        <f t="shared" si="7"/>
        <v>5000000</v>
      </c>
      <c r="Y47" s="75">
        <f t="shared" si="8"/>
        <v>0</v>
      </c>
    </row>
    <row r="48" spans="1:25" ht="22.5" customHeight="1">
      <c r="A48" s="1"/>
      <c r="B48" s="58"/>
      <c r="C48" s="57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49">
        <f>H48/D48*100</f>
        <v>1.044857142857143</v>
      </c>
      <c r="J48" s="73">
        <f t="shared" si="9"/>
        <v>28.443649373881957</v>
      </c>
      <c r="K48" s="55">
        <f t="shared" si="4"/>
        <v>183999.99999999977</v>
      </c>
      <c r="L48" s="63"/>
      <c r="M48" s="63"/>
      <c r="N48" s="63"/>
      <c r="O48" s="63">
        <f>755868.99-512000</f>
        <v>243868.99</v>
      </c>
      <c r="P48" s="63">
        <f>1600000+2244131.01-2087000-1100000</f>
        <v>657131.0099999998</v>
      </c>
      <c r="Q48" s="63">
        <f>-827666</f>
        <v>-827666</v>
      </c>
      <c r="R48" s="63">
        <f>400000+512000+201333+375000-1304527</f>
        <v>183806</v>
      </c>
      <c r="S48" s="63">
        <f>3021500+238660</f>
        <v>3260160</v>
      </c>
      <c r="T48" s="63">
        <f>1113334+1065867</f>
        <v>2179201</v>
      </c>
      <c r="U48" s="63">
        <f>91754.25</f>
        <v>91754.25</v>
      </c>
      <c r="V48" s="63">
        <f>1211744.75</f>
        <v>1211744.75</v>
      </c>
      <c r="W48" s="63"/>
      <c r="X48" s="66">
        <f t="shared" si="7"/>
        <v>7000000</v>
      </c>
      <c r="Y48" s="75">
        <f t="shared" si="8"/>
        <v>0</v>
      </c>
    </row>
    <row r="49" spans="1:25" s="16" customFormat="1" ht="24" customHeight="1">
      <c r="A49" s="80" t="s">
        <v>30</v>
      </c>
      <c r="B49" s="81"/>
      <c r="C49" s="81"/>
      <c r="D49" s="81"/>
      <c r="E49" s="81"/>
      <c r="F49" s="81"/>
      <c r="G49" s="81"/>
      <c r="H49" s="81"/>
      <c r="I49" s="81"/>
      <c r="J49" s="73"/>
      <c r="K49" s="55"/>
      <c r="X49" s="71"/>
      <c r="Y49" s="75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26027431.73</v>
      </c>
      <c r="I50" s="70">
        <f>H50/D50*100</f>
        <v>34.66335125985881</v>
      </c>
      <c r="J50" s="73"/>
      <c r="K50" s="55"/>
      <c r="X50" s="71"/>
      <c r="Y50" s="75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26027431.73</v>
      </c>
      <c r="I51" s="51">
        <f>H51/D51*100</f>
        <v>34.66335125985881</v>
      </c>
      <c r="J51" s="74">
        <f>H51/(L51+M51+N51+O51+P51+Q51+R51)*100</f>
        <v>68.06741670506128</v>
      </c>
      <c r="K51" s="55">
        <f>L51+M51+N51+O51+P51+Q51+R51-H51</f>
        <v>12210293.440000001</v>
      </c>
      <c r="L51" s="65">
        <f>SUM(L52:L101)</f>
        <v>0</v>
      </c>
      <c r="M51" s="65">
        <f aca="true" t="shared" si="11" ref="M51:X51">SUM(M52:M101)</f>
        <v>2416000</v>
      </c>
      <c r="N51" s="65">
        <f>SUM(N52:N101)</f>
        <v>3584000</v>
      </c>
      <c r="O51" s="65">
        <f t="shared" si="11"/>
        <v>640500</v>
      </c>
      <c r="P51" s="65">
        <f t="shared" si="11"/>
        <v>6993995.17</v>
      </c>
      <c r="Q51" s="65">
        <f t="shared" si="11"/>
        <v>14129230</v>
      </c>
      <c r="R51" s="65">
        <f t="shared" si="11"/>
        <v>10474000</v>
      </c>
      <c r="S51" s="65">
        <f t="shared" si="11"/>
        <v>9585470.26</v>
      </c>
      <c r="T51" s="65">
        <f t="shared" si="11"/>
        <v>2874428.61</v>
      </c>
      <c r="U51" s="65">
        <f t="shared" si="11"/>
        <v>9176786.91</v>
      </c>
      <c r="V51" s="65">
        <f t="shared" si="11"/>
        <v>11647784.219999999</v>
      </c>
      <c r="W51" s="65">
        <f>SUM(W52:W101)</f>
        <v>3564115.83</v>
      </c>
      <c r="X51" s="65">
        <f t="shared" si="11"/>
        <v>75086311</v>
      </c>
      <c r="Y51" s="75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9">
        <f>H52/D52*100</f>
        <v>64.20677473958332</v>
      </c>
      <c r="J52" s="73">
        <f t="shared" si="9"/>
        <v>99.96911975592604</v>
      </c>
      <c r="K52" s="55">
        <f aca="true" t="shared" si="14" ref="K52:K104">L52+M52+N52+O52+P52+Q52+R52-H52</f>
        <v>152.32000000000698</v>
      </c>
      <c r="L52" s="63"/>
      <c r="M52" s="63">
        <v>92000</v>
      </c>
      <c r="N52" s="63">
        <v>100000</v>
      </c>
      <c r="O52" s="63">
        <v>300000</v>
      </c>
      <c r="P52" s="63">
        <f>276000-360739.65</f>
        <v>-84739.65000000002</v>
      </c>
      <c r="Q52" s="63"/>
      <c r="R52" s="63">
        <f>86000</f>
        <v>86000</v>
      </c>
      <c r="S52" s="63"/>
      <c r="T52" s="63"/>
      <c r="U52" s="63"/>
      <c r="V52" s="63"/>
      <c r="W52" s="63">
        <f>360739.65-86000</f>
        <v>274739.65</v>
      </c>
      <c r="X52" s="63">
        <f>SUM(L52:W52)</f>
        <v>768000</v>
      </c>
      <c r="Y52" s="75">
        <f t="shared" si="8"/>
        <v>0</v>
      </c>
    </row>
    <row r="53" spans="1:25" s="16" customFormat="1" ht="23.25" customHeight="1">
      <c r="A53" s="1"/>
      <c r="B53" s="29"/>
      <c r="C53" s="60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9"/>
      <c r="J53" s="73">
        <f t="shared" si="9"/>
        <v>0</v>
      </c>
      <c r="K53" s="55">
        <f t="shared" si="14"/>
        <v>64000</v>
      </c>
      <c r="L53" s="63"/>
      <c r="M53" s="63"/>
      <c r="N53" s="63"/>
      <c r="O53" s="63">
        <v>50000</v>
      </c>
      <c r="P53" s="63">
        <f>50000-100000</f>
        <v>-50000</v>
      </c>
      <c r="Q53" s="63">
        <v>64000</v>
      </c>
      <c r="R53" s="63"/>
      <c r="S53" s="63"/>
      <c r="T53" s="63"/>
      <c r="U53" s="63"/>
      <c r="V53" s="63"/>
      <c r="W53" s="63">
        <f>100000-100000</f>
        <v>0</v>
      </c>
      <c r="X53" s="63">
        <f aca="true" t="shared" si="15" ref="X53:X101">SUM(L53:W53)</f>
        <v>64000</v>
      </c>
      <c r="Y53" s="75">
        <f t="shared" si="8"/>
        <v>0</v>
      </c>
    </row>
    <row r="54" spans="1:25" s="16" customFormat="1" ht="26.25" customHeight="1">
      <c r="A54" s="1"/>
      <c r="B54" s="29"/>
      <c r="C54" s="60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9"/>
      <c r="J54" s="73"/>
      <c r="K54" s="55">
        <f t="shared" si="14"/>
        <v>0</v>
      </c>
      <c r="L54" s="63"/>
      <c r="M54" s="63"/>
      <c r="N54" s="63"/>
      <c r="O54" s="63"/>
      <c r="P54" s="63">
        <f>109800-109800</f>
        <v>0</v>
      </c>
      <c r="Q54" s="63"/>
      <c r="R54" s="63"/>
      <c r="S54" s="63"/>
      <c r="T54" s="63"/>
      <c r="U54" s="63"/>
      <c r="V54" s="63"/>
      <c r="W54" s="63">
        <f>109800</f>
        <v>109800</v>
      </c>
      <c r="X54" s="63">
        <f t="shared" si="15"/>
        <v>109800</v>
      </c>
      <c r="Y54" s="75">
        <f t="shared" si="8"/>
        <v>0</v>
      </c>
    </row>
    <row r="55" spans="1:25" s="16" customFormat="1" ht="40.5" customHeight="1">
      <c r="A55" s="1"/>
      <c r="B55" s="29"/>
      <c r="C55" s="60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9"/>
      <c r="J55" s="73">
        <f t="shared" si="9"/>
        <v>0</v>
      </c>
      <c r="K55" s="55">
        <f t="shared" si="14"/>
        <v>25280</v>
      </c>
      <c r="L55" s="63"/>
      <c r="M55" s="63"/>
      <c r="N55" s="63"/>
      <c r="O55" s="63"/>
      <c r="P55" s="63"/>
      <c r="Q55" s="63">
        <v>25280</v>
      </c>
      <c r="R55" s="63"/>
      <c r="S55" s="63"/>
      <c r="T55" s="63"/>
      <c r="U55" s="63"/>
      <c r="V55" s="63"/>
      <c r="W55" s="63"/>
      <c r="X55" s="63">
        <f t="shared" si="15"/>
        <v>25280</v>
      </c>
      <c r="Y55" s="75">
        <f t="shared" si="8"/>
        <v>0</v>
      </c>
    </row>
    <row r="56" spans="1:25" s="16" customFormat="1" ht="24.75" customHeight="1">
      <c r="A56" s="1"/>
      <c r="B56" s="29"/>
      <c r="C56" s="60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9"/>
      <c r="J56" s="73"/>
      <c r="K56" s="55">
        <f t="shared" si="14"/>
        <v>0</v>
      </c>
      <c r="L56" s="63"/>
      <c r="M56" s="63"/>
      <c r="N56" s="63"/>
      <c r="O56" s="63"/>
      <c r="P56" s="64">
        <f>30000-30000</f>
        <v>0</v>
      </c>
      <c r="Q56" s="64"/>
      <c r="R56" s="64"/>
      <c r="S56" s="64">
        <v>570000</v>
      </c>
      <c r="T56" s="64"/>
      <c r="U56" s="64"/>
      <c r="V56" s="64"/>
      <c r="W56" s="64">
        <f>30000</f>
        <v>30000</v>
      </c>
      <c r="X56" s="63">
        <f t="shared" si="15"/>
        <v>600000</v>
      </c>
      <c r="Y56" s="75">
        <f t="shared" si="8"/>
        <v>0</v>
      </c>
    </row>
    <row r="57" spans="1:25" s="16" customFormat="1" ht="24.75" customHeight="1">
      <c r="A57" s="1"/>
      <c r="B57" s="29"/>
      <c r="C57" s="60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9">
        <f>H57/D57*100</f>
        <v>45.484182352941176</v>
      </c>
      <c r="J57" s="73"/>
      <c r="K57" s="55">
        <f t="shared" si="14"/>
        <v>384.45000000001164</v>
      </c>
      <c r="L57" s="63"/>
      <c r="M57" s="63"/>
      <c r="N57" s="63"/>
      <c r="O57" s="63"/>
      <c r="P57" s="64">
        <f>30000-30000</f>
        <v>0</v>
      </c>
      <c r="Q57" s="64"/>
      <c r="R57" s="64">
        <f>387000</f>
        <v>387000</v>
      </c>
      <c r="S57" s="64">
        <v>290103.26</v>
      </c>
      <c r="T57" s="64">
        <v>15002.85</v>
      </c>
      <c r="U57" s="64">
        <f>514893.89-387000</f>
        <v>127893.89000000001</v>
      </c>
      <c r="V57" s="64"/>
      <c r="W57" s="64">
        <f>30000</f>
        <v>30000</v>
      </c>
      <c r="X57" s="63">
        <f t="shared" si="15"/>
        <v>850000</v>
      </c>
      <c r="Y57" s="75">
        <f t="shared" si="8"/>
        <v>0</v>
      </c>
    </row>
    <row r="58" spans="1:25" s="16" customFormat="1" ht="22.5" customHeight="1">
      <c r="A58" s="1"/>
      <c r="B58" s="29"/>
      <c r="C58" s="60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9"/>
      <c r="J58" s="73"/>
      <c r="K58" s="55">
        <f t="shared" si="14"/>
        <v>0</v>
      </c>
      <c r="L58" s="63"/>
      <c r="M58" s="63"/>
      <c r="N58" s="63"/>
      <c r="O58" s="63"/>
      <c r="P58" s="64">
        <f>30000-30000</f>
        <v>0</v>
      </c>
      <c r="Q58" s="64"/>
      <c r="R58" s="64"/>
      <c r="S58" s="64"/>
      <c r="T58" s="64"/>
      <c r="U58" s="64">
        <v>494552.02</v>
      </c>
      <c r="V58" s="64">
        <v>225447.98</v>
      </c>
      <c r="W58" s="64">
        <f>30000</f>
        <v>30000</v>
      </c>
      <c r="X58" s="63">
        <f t="shared" si="15"/>
        <v>750000</v>
      </c>
      <c r="Y58" s="75">
        <f t="shared" si="8"/>
        <v>0</v>
      </c>
    </row>
    <row r="59" spans="1:25" s="16" customFormat="1" ht="40.5" customHeight="1">
      <c r="A59" s="1"/>
      <c r="B59" s="29"/>
      <c r="C59" s="60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</f>
        <v>1125698.79</v>
      </c>
      <c r="I59" s="49">
        <f>H59/D59*100</f>
        <v>95.39820254237289</v>
      </c>
      <c r="J59" s="73">
        <f t="shared" si="9"/>
        <v>95.39820254237289</v>
      </c>
      <c r="K59" s="55">
        <f t="shared" si="14"/>
        <v>54301.20999999996</v>
      </c>
      <c r="L59" s="63"/>
      <c r="M59" s="63"/>
      <c r="N59" s="63"/>
      <c r="O59" s="63"/>
      <c r="P59" s="64">
        <f>30000-30000+30000</f>
        <v>30000</v>
      </c>
      <c r="Q59" s="64">
        <v>700000</v>
      </c>
      <c r="R59" s="64">
        <f>450000</f>
        <v>450000</v>
      </c>
      <c r="S59" s="64">
        <f>300000-200000-100000</f>
        <v>0</v>
      </c>
      <c r="T59" s="64">
        <f>300000-300000</f>
        <v>0</v>
      </c>
      <c r="U59" s="64">
        <f>520000-500000-20000</f>
        <v>0</v>
      </c>
      <c r="V59" s="64"/>
      <c r="W59" s="64">
        <f>30000-30000</f>
        <v>0</v>
      </c>
      <c r="X59" s="63">
        <f t="shared" si="15"/>
        <v>1180000</v>
      </c>
      <c r="Y59" s="75">
        <f t="shared" si="8"/>
        <v>0</v>
      </c>
    </row>
    <row r="60" spans="1:25" s="16" customFormat="1" ht="40.5" customHeight="1" hidden="1">
      <c r="A60" s="1"/>
      <c r="B60" s="29"/>
      <c r="C60" s="60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9" t="e">
        <f>H60/D60*100</f>
        <v>#DIV/0!</v>
      </c>
      <c r="J60" s="73" t="e">
        <f t="shared" si="9"/>
        <v>#DIV/0!</v>
      </c>
      <c r="K60" s="55">
        <f t="shared" si="14"/>
        <v>0</v>
      </c>
      <c r="L60" s="63"/>
      <c r="M60" s="63"/>
      <c r="N60" s="63"/>
      <c r="O60" s="63"/>
      <c r="P60" s="64">
        <f>30000-30000</f>
        <v>0</v>
      </c>
      <c r="Q60" s="64"/>
      <c r="R60" s="64"/>
      <c r="S60" s="64"/>
      <c r="T60" s="64">
        <f>520000-520000</f>
        <v>0</v>
      </c>
      <c r="U60" s="64"/>
      <c r="V60" s="64"/>
      <c r="W60" s="64">
        <f>30000-30000</f>
        <v>0</v>
      </c>
      <c r="X60" s="63">
        <f t="shared" si="15"/>
        <v>0</v>
      </c>
      <c r="Y60" s="75">
        <f t="shared" si="8"/>
        <v>0</v>
      </c>
    </row>
    <row r="61" spans="1:25" s="16" customFormat="1" ht="40.5" customHeight="1">
      <c r="A61" s="1"/>
      <c r="B61" s="29"/>
      <c r="C61" s="60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9"/>
      <c r="J61" s="73"/>
      <c r="K61" s="55">
        <f t="shared" si="14"/>
        <v>0</v>
      </c>
      <c r="L61" s="63"/>
      <c r="M61" s="63"/>
      <c r="N61" s="63"/>
      <c r="O61" s="63">
        <v>50000</v>
      </c>
      <c r="P61" s="63">
        <f>70000-120000</f>
        <v>-50000</v>
      </c>
      <c r="Q61" s="63"/>
      <c r="R61" s="63"/>
      <c r="S61" s="63"/>
      <c r="T61" s="63"/>
      <c r="U61" s="63"/>
      <c r="V61" s="63"/>
      <c r="W61" s="63">
        <f>120000</f>
        <v>120000</v>
      </c>
      <c r="X61" s="63">
        <f t="shared" si="15"/>
        <v>120000</v>
      </c>
      <c r="Y61" s="75">
        <f t="shared" si="8"/>
        <v>0</v>
      </c>
    </row>
    <row r="62" spans="1:25" s="16" customFormat="1" ht="24.75" customHeight="1">
      <c r="A62" s="1"/>
      <c r="B62" s="29"/>
      <c r="C62" s="60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9"/>
      <c r="J62" s="73"/>
      <c r="K62" s="55">
        <f t="shared" si="14"/>
        <v>0</v>
      </c>
      <c r="L62" s="63"/>
      <c r="M62" s="63"/>
      <c r="N62" s="63"/>
      <c r="O62" s="63"/>
      <c r="P62" s="63"/>
      <c r="Q62" s="63"/>
      <c r="R62" s="63"/>
      <c r="S62" s="63">
        <v>64400</v>
      </c>
      <c r="T62" s="63">
        <v>64400</v>
      </c>
      <c r="U62" s="63"/>
      <c r="V62" s="63"/>
      <c r="W62" s="63"/>
      <c r="X62" s="63">
        <f t="shared" si="15"/>
        <v>128800</v>
      </c>
      <c r="Y62" s="75">
        <f t="shared" si="8"/>
        <v>0</v>
      </c>
    </row>
    <row r="63" spans="1:25" s="16" customFormat="1" ht="23.25" customHeight="1">
      <c r="A63" s="1"/>
      <c r="B63" s="29"/>
      <c r="C63" s="60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9"/>
      <c r="J63" s="73">
        <f t="shared" si="9"/>
        <v>0</v>
      </c>
      <c r="K63" s="55">
        <f t="shared" si="14"/>
        <v>5000</v>
      </c>
      <c r="L63" s="63"/>
      <c r="M63" s="63"/>
      <c r="N63" s="63"/>
      <c r="O63" s="63">
        <v>5000</v>
      </c>
      <c r="P63" s="63"/>
      <c r="Q63" s="63"/>
      <c r="R63" s="63"/>
      <c r="S63" s="63"/>
      <c r="T63" s="63"/>
      <c r="U63" s="63"/>
      <c r="V63" s="63"/>
      <c r="W63" s="63"/>
      <c r="X63" s="63">
        <f t="shared" si="15"/>
        <v>5000</v>
      </c>
      <c r="Y63" s="75">
        <f t="shared" si="8"/>
        <v>0</v>
      </c>
    </row>
    <row r="64" spans="1:25" s="16" customFormat="1" ht="23.25" customHeight="1">
      <c r="A64" s="1"/>
      <c r="B64" s="29"/>
      <c r="C64" s="60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9">
        <f>H64/D64*100</f>
        <v>30</v>
      </c>
      <c r="J64" s="73">
        <f t="shared" si="9"/>
        <v>30</v>
      </c>
      <c r="K64" s="55">
        <f t="shared" si="14"/>
        <v>350000</v>
      </c>
      <c r="L64" s="63"/>
      <c r="M64" s="63"/>
      <c r="N64" s="63"/>
      <c r="O64" s="63"/>
      <c r="P64" s="63"/>
      <c r="Q64" s="63">
        <v>500000</v>
      </c>
      <c r="R64" s="63"/>
      <c r="S64" s="63"/>
      <c r="T64" s="63"/>
      <c r="U64" s="63"/>
      <c r="V64" s="63"/>
      <c r="W64" s="63"/>
      <c r="X64" s="63">
        <f t="shared" si="15"/>
        <v>500000</v>
      </c>
      <c r="Y64" s="75">
        <f t="shared" si="8"/>
        <v>0</v>
      </c>
    </row>
    <row r="65" spans="1:25" s="16" customFormat="1" ht="23.25" customHeight="1">
      <c r="A65" s="1"/>
      <c r="B65" s="29"/>
      <c r="C65" s="60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9"/>
      <c r="J65" s="73">
        <f t="shared" si="9"/>
        <v>0</v>
      </c>
      <c r="K65" s="55">
        <f t="shared" si="14"/>
        <v>200000</v>
      </c>
      <c r="L65" s="63"/>
      <c r="M65" s="63"/>
      <c r="N65" s="63"/>
      <c r="O65" s="63"/>
      <c r="P65" s="63"/>
      <c r="Q65" s="63">
        <v>200000</v>
      </c>
      <c r="R65" s="63"/>
      <c r="S65" s="63"/>
      <c r="T65" s="63"/>
      <c r="U65" s="63"/>
      <c r="V65" s="63"/>
      <c r="W65" s="63"/>
      <c r="X65" s="63">
        <f t="shared" si="15"/>
        <v>200000</v>
      </c>
      <c r="Y65" s="75">
        <f t="shared" si="8"/>
        <v>0</v>
      </c>
    </row>
    <row r="66" spans="1:25" s="16" customFormat="1" ht="24.75" customHeight="1">
      <c r="A66" s="1"/>
      <c r="B66" s="29"/>
      <c r="C66" s="59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9"/>
      <c r="J66" s="73"/>
      <c r="K66" s="55">
        <f t="shared" si="14"/>
        <v>0</v>
      </c>
      <c r="L66" s="63"/>
      <c r="M66" s="63"/>
      <c r="N66" s="63"/>
      <c r="O66" s="63"/>
      <c r="P66" s="63">
        <f>120000-120000</f>
        <v>0</v>
      </c>
      <c r="Q66" s="63"/>
      <c r="R66" s="63"/>
      <c r="S66" s="63"/>
      <c r="T66" s="63"/>
      <c r="U66" s="63"/>
      <c r="V66" s="63"/>
      <c r="W66" s="63">
        <f>120000</f>
        <v>120000</v>
      </c>
      <c r="X66" s="63">
        <f t="shared" si="15"/>
        <v>120000</v>
      </c>
      <c r="Y66" s="75">
        <f t="shared" si="8"/>
        <v>0</v>
      </c>
    </row>
    <row r="67" spans="1:25" s="16" customFormat="1" ht="39.75" customHeight="1">
      <c r="A67" s="1"/>
      <c r="B67" s="29"/>
      <c r="C67" s="60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9"/>
      <c r="J67" s="73">
        <f t="shared" si="9"/>
        <v>0</v>
      </c>
      <c r="K67" s="55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75">
        <f t="shared" si="8"/>
        <v>0</v>
      </c>
    </row>
    <row r="68" spans="1:25" s="16" customFormat="1" ht="24.75" customHeight="1">
      <c r="A68" s="1"/>
      <c r="B68" s="29"/>
      <c r="C68" s="59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9"/>
      <c r="J68" s="73">
        <f t="shared" si="9"/>
        <v>0</v>
      </c>
      <c r="K68" s="55">
        <f t="shared" si="14"/>
        <v>50000</v>
      </c>
      <c r="L68" s="63"/>
      <c r="M68" s="63"/>
      <c r="N68" s="63"/>
      <c r="O68" s="63"/>
      <c r="P68" s="63"/>
      <c r="Q68" s="63">
        <v>50000</v>
      </c>
      <c r="R68" s="63"/>
      <c r="S68" s="63"/>
      <c r="T68" s="63"/>
      <c r="U68" s="63"/>
      <c r="V68" s="63"/>
      <c r="W68" s="63"/>
      <c r="X68" s="63">
        <f t="shared" si="15"/>
        <v>50000</v>
      </c>
      <c r="Y68" s="75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9"/>
      <c r="J69" s="73">
        <f t="shared" si="9"/>
        <v>0</v>
      </c>
      <c r="K69" s="55">
        <f t="shared" si="14"/>
        <v>25000</v>
      </c>
      <c r="L69" s="63"/>
      <c r="M69" s="63"/>
      <c r="N69" s="63"/>
      <c r="O69" s="63"/>
      <c r="P69" s="63">
        <v>5000</v>
      </c>
      <c r="Q69" s="63"/>
      <c r="R69" s="63">
        <v>20000</v>
      </c>
      <c r="S69" s="63"/>
      <c r="T69" s="63"/>
      <c r="U69" s="63"/>
      <c r="V69" s="63"/>
      <c r="W69" s="63"/>
      <c r="X69" s="63">
        <f t="shared" si="15"/>
        <v>25000</v>
      </c>
      <c r="Y69" s="75">
        <f t="shared" si="8"/>
        <v>0</v>
      </c>
    </row>
    <row r="70" spans="1:25" s="16" customFormat="1" ht="24.75" customHeight="1">
      <c r="A70" s="1"/>
      <c r="B70" s="29"/>
      <c r="C70" s="59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9">
        <f>H70/D70*100</f>
        <v>30</v>
      </c>
      <c r="J70" s="73">
        <f t="shared" si="9"/>
        <v>44.44444444444444</v>
      </c>
      <c r="K70" s="55">
        <f t="shared" si="14"/>
        <v>75000</v>
      </c>
      <c r="L70" s="63"/>
      <c r="M70" s="63"/>
      <c r="N70" s="63"/>
      <c r="O70" s="63"/>
      <c r="P70" s="63">
        <v>60000</v>
      </c>
      <c r="Q70" s="63"/>
      <c r="R70" s="63">
        <f>65000-60000+70000</f>
        <v>75000</v>
      </c>
      <c r="S70" s="63">
        <v>65000</v>
      </c>
      <c r="T70" s="63">
        <f>70000-70000</f>
        <v>0</v>
      </c>
      <c r="U70" s="63"/>
      <c r="V70" s="63"/>
      <c r="W70" s="63"/>
      <c r="X70" s="63">
        <f t="shared" si="15"/>
        <v>200000</v>
      </c>
      <c r="Y70" s="75">
        <f t="shared" si="8"/>
        <v>0</v>
      </c>
    </row>
    <row r="71" spans="1:25" s="16" customFormat="1" ht="24.75" customHeight="1">
      <c r="A71" s="1"/>
      <c r="B71" s="29"/>
      <c r="C71" s="59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9"/>
      <c r="J71" s="73">
        <f t="shared" si="9"/>
        <v>0</v>
      </c>
      <c r="K71" s="55">
        <f t="shared" si="14"/>
        <v>200000</v>
      </c>
      <c r="L71" s="63"/>
      <c r="M71" s="63"/>
      <c r="N71" s="63"/>
      <c r="O71" s="63">
        <v>60000</v>
      </c>
      <c r="P71" s="63">
        <f>-60000</f>
        <v>-60000</v>
      </c>
      <c r="Q71" s="63">
        <v>140000</v>
      </c>
      <c r="R71" s="63">
        <f>60000</f>
        <v>60000</v>
      </c>
      <c r="S71" s="63"/>
      <c r="T71" s="63"/>
      <c r="U71" s="63"/>
      <c r="V71" s="63"/>
      <c r="W71" s="63">
        <f>60000-60000</f>
        <v>0</v>
      </c>
      <c r="X71" s="63">
        <f t="shared" si="15"/>
        <v>200000</v>
      </c>
      <c r="Y71" s="75">
        <f t="shared" si="8"/>
        <v>0</v>
      </c>
    </row>
    <row r="72" spans="1:25" s="16" customFormat="1" ht="24.75" customHeight="1">
      <c r="A72" s="1"/>
      <c r="B72" s="29"/>
      <c r="C72" s="59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9">
        <f>H72/D72*100</f>
        <v>100</v>
      </c>
      <c r="J72" s="73"/>
      <c r="K72" s="55">
        <f t="shared" si="14"/>
        <v>0</v>
      </c>
      <c r="L72" s="63"/>
      <c r="M72" s="63"/>
      <c r="N72" s="63">
        <v>100000</v>
      </c>
      <c r="O72" s="63"/>
      <c r="P72" s="63">
        <f>200000-300000</f>
        <v>-100000</v>
      </c>
      <c r="Q72" s="63"/>
      <c r="R72" s="63">
        <f>300000</f>
        <v>300000</v>
      </c>
      <c r="S72" s="63"/>
      <c r="T72" s="63"/>
      <c r="U72" s="63"/>
      <c r="V72" s="63"/>
      <c r="W72" s="63">
        <f>300000-300000</f>
        <v>0</v>
      </c>
      <c r="X72" s="63">
        <f t="shared" si="15"/>
        <v>300000</v>
      </c>
      <c r="Y72" s="75">
        <f t="shared" si="8"/>
        <v>0</v>
      </c>
    </row>
    <row r="73" spans="1:25" s="16" customFormat="1" ht="24.75" customHeight="1">
      <c r="A73" s="1"/>
      <c r="B73" s="29"/>
      <c r="C73" s="61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9">
        <f>H73/D73*100</f>
        <v>30</v>
      </c>
      <c r="J73" s="73">
        <f t="shared" si="9"/>
        <v>30</v>
      </c>
      <c r="K73" s="55">
        <f t="shared" si="14"/>
        <v>245000</v>
      </c>
      <c r="L73" s="63"/>
      <c r="M73" s="63"/>
      <c r="N73" s="63">
        <v>215000</v>
      </c>
      <c r="O73" s="63"/>
      <c r="P73" s="63">
        <f>-50000-60000</f>
        <v>-110000</v>
      </c>
      <c r="Q73" s="63"/>
      <c r="R73" s="63">
        <f>60000+185000</f>
        <v>245000</v>
      </c>
      <c r="S73" s="63">
        <f>135000-135000</f>
        <v>0</v>
      </c>
      <c r="T73" s="63"/>
      <c r="U73" s="63"/>
      <c r="V73" s="63"/>
      <c r="W73" s="63">
        <f>50000-50000</f>
        <v>0</v>
      </c>
      <c r="X73" s="63">
        <f t="shared" si="15"/>
        <v>350000</v>
      </c>
      <c r="Y73" s="75">
        <f t="shared" si="8"/>
        <v>0</v>
      </c>
    </row>
    <row r="74" spans="1:25" s="16" customFormat="1" ht="24.75" customHeight="1">
      <c r="A74" s="1"/>
      <c r="B74" s="29"/>
      <c r="C74" s="60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/>
      <c r="I74" s="49"/>
      <c r="J74" s="73">
        <f t="shared" si="9"/>
        <v>0</v>
      </c>
      <c r="K74" s="55">
        <f t="shared" si="14"/>
        <v>30000</v>
      </c>
      <c r="L74" s="63"/>
      <c r="M74" s="63"/>
      <c r="N74" s="63">
        <v>60000</v>
      </c>
      <c r="O74" s="63"/>
      <c r="P74" s="63">
        <v>-60000</v>
      </c>
      <c r="Q74" s="63"/>
      <c r="R74" s="63">
        <v>30000</v>
      </c>
      <c r="S74" s="63">
        <f>21967+30000</f>
        <v>51967</v>
      </c>
      <c r="T74" s="63">
        <v>40000</v>
      </c>
      <c r="U74" s="63"/>
      <c r="V74" s="63"/>
      <c r="W74" s="63">
        <v>78033</v>
      </c>
      <c r="X74" s="63">
        <f t="shared" si="15"/>
        <v>200000</v>
      </c>
      <c r="Y74" s="75">
        <f t="shared" si="8"/>
        <v>0</v>
      </c>
    </row>
    <row r="75" spans="1:25" s="16" customFormat="1" ht="24.75" customHeight="1">
      <c r="A75" s="1"/>
      <c r="B75" s="29"/>
      <c r="C75" s="62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9"/>
      <c r="J75" s="73"/>
      <c r="K75" s="55">
        <f t="shared" si="14"/>
        <v>0</v>
      </c>
      <c r="L75" s="63"/>
      <c r="M75" s="63"/>
      <c r="N75" s="63"/>
      <c r="O75" s="63"/>
      <c r="P75" s="63"/>
      <c r="Q75" s="63"/>
      <c r="R75" s="63"/>
      <c r="S75" s="63"/>
      <c r="T75" s="63">
        <v>125000</v>
      </c>
      <c r="U75" s="63">
        <v>125000</v>
      </c>
      <c r="V75" s="63"/>
      <c r="W75" s="63"/>
      <c r="X75" s="63">
        <f t="shared" si="15"/>
        <v>250000</v>
      </c>
      <c r="Y75" s="75">
        <f t="shared" si="8"/>
        <v>0</v>
      </c>
    </row>
    <row r="76" spans="1:25" s="16" customFormat="1" ht="24.75" customHeight="1">
      <c r="A76" s="1"/>
      <c r="B76" s="29"/>
      <c r="C76" s="60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9"/>
      <c r="J76" s="73"/>
      <c r="K76" s="55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/>
      <c r="U76" s="63">
        <v>135000</v>
      </c>
      <c r="V76" s="63">
        <v>125000</v>
      </c>
      <c r="W76" s="63"/>
      <c r="X76" s="63">
        <f t="shared" si="15"/>
        <v>260000</v>
      </c>
      <c r="Y76" s="75">
        <f t="shared" si="8"/>
        <v>0</v>
      </c>
    </row>
    <row r="77" spans="1:25" s="16" customFormat="1" ht="24.75" customHeight="1">
      <c r="A77" s="1"/>
      <c r="B77" s="29"/>
      <c r="C77" s="60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9"/>
      <c r="J77" s="73"/>
      <c r="K77" s="55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>
        <v>150000</v>
      </c>
      <c r="W77" s="63"/>
      <c r="X77" s="63">
        <f t="shared" si="15"/>
        <v>150000</v>
      </c>
      <c r="Y77" s="75">
        <f t="shared" si="8"/>
        <v>0</v>
      </c>
    </row>
    <row r="78" spans="1:25" s="16" customFormat="1" ht="24.75" customHeight="1">
      <c r="A78" s="1"/>
      <c r="B78" s="29"/>
      <c r="C78" s="60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9"/>
      <c r="J78" s="73"/>
      <c r="K78" s="55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>
        <v>150000</v>
      </c>
      <c r="V78" s="63"/>
      <c r="W78" s="63"/>
      <c r="X78" s="63">
        <f t="shared" si="15"/>
        <v>150000</v>
      </c>
      <c r="Y78" s="75">
        <f t="shared" si="8"/>
        <v>0</v>
      </c>
    </row>
    <row r="79" spans="1:25" s="16" customFormat="1" ht="24.75" customHeight="1">
      <c r="A79" s="1"/>
      <c r="B79" s="29"/>
      <c r="C79" s="59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3">
        <f t="shared" si="9"/>
        <v>98.36231545045402</v>
      </c>
      <c r="K79" s="55">
        <f t="shared" si="14"/>
        <v>100000</v>
      </c>
      <c r="L79" s="63"/>
      <c r="M79" s="63"/>
      <c r="N79" s="63">
        <v>125000</v>
      </c>
      <c r="O79" s="63"/>
      <c r="P79" s="63">
        <f>-118817.95</f>
        <v>-118817.95</v>
      </c>
      <c r="Q79" s="63"/>
      <c r="R79" s="63">
        <f>6000000+100000</f>
        <v>6100000</v>
      </c>
      <c r="S79" s="63"/>
      <c r="T79" s="63"/>
      <c r="U79" s="63">
        <f>2000000-100000</f>
        <v>1900000</v>
      </c>
      <c r="V79" s="63">
        <v>4375000</v>
      </c>
      <c r="W79" s="63">
        <f>118817.95</f>
        <v>118817.95</v>
      </c>
      <c r="X79" s="63">
        <f t="shared" si="15"/>
        <v>12500000</v>
      </c>
      <c r="Y79" s="75">
        <f t="shared" si="8"/>
        <v>0</v>
      </c>
    </row>
    <row r="80" spans="1:25" s="16" customFormat="1" ht="21.75" customHeight="1">
      <c r="A80" s="1"/>
      <c r="B80" s="29"/>
      <c r="C80" s="59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9">
        <f>H80/D80*100</f>
        <v>48.50168</v>
      </c>
      <c r="J80" s="73">
        <f t="shared" si="9"/>
        <v>76.18160385496205</v>
      </c>
      <c r="K80" s="55">
        <f t="shared" si="14"/>
        <v>462507.76</v>
      </c>
      <c r="L80" s="63"/>
      <c r="M80" s="63"/>
      <c r="N80" s="63">
        <v>754000</v>
      </c>
      <c r="O80" s="63">
        <v>7000</v>
      </c>
      <c r="P80" s="63">
        <v>764000</v>
      </c>
      <c r="Q80" s="63">
        <f>1255000-838191</f>
        <v>416809</v>
      </c>
      <c r="R80" s="63"/>
      <c r="S80" s="63"/>
      <c r="T80" s="63">
        <f>270000+150850</f>
        <v>420850</v>
      </c>
      <c r="U80" s="63">
        <f>687341</f>
        <v>687341</v>
      </c>
      <c r="V80" s="63"/>
      <c r="W80" s="63"/>
      <c r="X80" s="63">
        <f t="shared" si="15"/>
        <v>3050000</v>
      </c>
      <c r="Y80" s="75">
        <f t="shared" si="8"/>
        <v>0</v>
      </c>
    </row>
    <row r="81" spans="1:25" s="16" customFormat="1" ht="18.75" customHeight="1">
      <c r="A81" s="1"/>
      <c r="B81" s="29"/>
      <c r="C81" s="59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9">
        <f>H81/D81*100</f>
        <v>98.92367106154774</v>
      </c>
      <c r="J81" s="73">
        <f t="shared" si="9"/>
        <v>98.92367106154774</v>
      </c>
      <c r="K81" s="55">
        <f t="shared" si="14"/>
        <v>31624.600000000093</v>
      </c>
      <c r="L81" s="63"/>
      <c r="M81" s="63"/>
      <c r="N81" s="63">
        <v>7000</v>
      </c>
      <c r="O81" s="63">
        <v>-7000</v>
      </c>
      <c r="P81" s="63"/>
      <c r="Q81" s="63">
        <f>3315950+2000000-3315950+100000+838191</f>
        <v>2938191</v>
      </c>
      <c r="R81" s="63"/>
      <c r="S81" s="63"/>
      <c r="T81" s="63">
        <f>1000000-749150-100000-150850</f>
        <v>0</v>
      </c>
      <c r="U81" s="63">
        <f>1000000-1000000</f>
        <v>0</v>
      </c>
      <c r="V81" s="63">
        <f>1325950+1000000-1000000-550500-88109-687341</f>
        <v>0</v>
      </c>
      <c r="W81" s="63">
        <f>500000-500000</f>
        <v>0</v>
      </c>
      <c r="X81" s="63">
        <f t="shared" si="15"/>
        <v>2938191</v>
      </c>
      <c r="Y81" s="75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9">
        <f>H82/D82*100</f>
        <v>42.981714569273514</v>
      </c>
      <c r="J82" s="73">
        <f t="shared" si="9"/>
        <v>42.981714569273514</v>
      </c>
      <c r="K82" s="55">
        <f t="shared" si="14"/>
        <v>1436290.61</v>
      </c>
      <c r="L82" s="63"/>
      <c r="M82" s="63">
        <v>300000</v>
      </c>
      <c r="N82" s="63">
        <v>330000</v>
      </c>
      <c r="O82" s="63"/>
      <c r="P82" s="63">
        <f>370000+105000</f>
        <v>475000</v>
      </c>
      <c r="Q82" s="63">
        <f>1519000-105000</f>
        <v>1414000</v>
      </c>
      <c r="R82" s="63"/>
      <c r="S82" s="63"/>
      <c r="T82" s="63"/>
      <c r="U82" s="63"/>
      <c r="V82" s="63"/>
      <c r="W82" s="63"/>
      <c r="X82" s="63">
        <f t="shared" si="15"/>
        <v>2519000</v>
      </c>
      <c r="Y82" s="75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9">
        <f>H83/D83*100</f>
        <v>3.114284</v>
      </c>
      <c r="J83" s="73">
        <f t="shared" si="9"/>
        <v>5.931969523809523</v>
      </c>
      <c r="K83" s="55">
        <f t="shared" si="14"/>
        <v>1975428.64</v>
      </c>
      <c r="L83" s="63"/>
      <c r="M83" s="63"/>
      <c r="N83" s="63">
        <v>125000</v>
      </c>
      <c r="O83" s="63">
        <v>75000</v>
      </c>
      <c r="P83" s="63"/>
      <c r="Q83" s="63"/>
      <c r="R83" s="63">
        <v>1900000</v>
      </c>
      <c r="S83" s="63"/>
      <c r="T83" s="63"/>
      <c r="U83" s="63">
        <v>950000</v>
      </c>
      <c r="V83" s="63">
        <v>950000</v>
      </c>
      <c r="W83" s="63"/>
      <c r="X83" s="63">
        <f t="shared" si="15"/>
        <v>4000000</v>
      </c>
      <c r="Y83" s="75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9"/>
      <c r="J84" s="73">
        <f t="shared" si="9"/>
        <v>0</v>
      </c>
      <c r="K84" s="55">
        <f t="shared" si="14"/>
        <v>100000</v>
      </c>
      <c r="L84" s="63"/>
      <c r="M84" s="63"/>
      <c r="N84" s="63"/>
      <c r="O84" s="63"/>
      <c r="P84" s="63"/>
      <c r="Q84" s="63">
        <v>100000</v>
      </c>
      <c r="R84" s="63"/>
      <c r="S84" s="63"/>
      <c r="T84" s="63"/>
      <c r="U84" s="63"/>
      <c r="V84" s="63"/>
      <c r="W84" s="63"/>
      <c r="X84" s="63">
        <f t="shared" si="15"/>
        <v>100000</v>
      </c>
      <c r="Y84" s="75">
        <f t="shared" si="8"/>
        <v>0</v>
      </c>
    </row>
    <row r="85" spans="1:25" s="16" customFormat="1" ht="40.5" customHeight="1">
      <c r="A85" s="1"/>
      <c r="B85" s="29"/>
      <c r="C85" s="59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9"/>
      <c r="J85" s="73">
        <f t="shared" si="9"/>
        <v>0</v>
      </c>
      <c r="K85" s="55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75">
        <f t="shared" si="8"/>
        <v>0</v>
      </c>
    </row>
    <row r="86" spans="1:25" s="16" customFormat="1" ht="40.5" customHeight="1">
      <c r="A86" s="1"/>
      <c r="B86" s="29"/>
      <c r="C86" s="59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9">
        <f>H86/D86*100</f>
        <v>46.666666666666664</v>
      </c>
      <c r="J86" s="73">
        <f t="shared" si="9"/>
        <v>95.8904109589041</v>
      </c>
      <c r="K86" s="55">
        <f t="shared" si="14"/>
        <v>60000</v>
      </c>
      <c r="L86" s="63"/>
      <c r="M86" s="63"/>
      <c r="N86" s="63"/>
      <c r="O86" s="63">
        <v>80000</v>
      </c>
      <c r="P86" s="63">
        <f>-80000</f>
        <v>-80000</v>
      </c>
      <c r="Q86" s="63"/>
      <c r="R86" s="63">
        <v>1460000</v>
      </c>
      <c r="S86" s="63">
        <v>1460000</v>
      </c>
      <c r="T86" s="63"/>
      <c r="U86" s="63"/>
      <c r="V86" s="63"/>
      <c r="W86" s="63">
        <f>80000</f>
        <v>80000</v>
      </c>
      <c r="X86" s="63">
        <f t="shared" si="15"/>
        <v>3000000</v>
      </c>
      <c r="Y86" s="75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9">
        <f>H87/D87*100</f>
        <v>74.23312979890311</v>
      </c>
      <c r="J87" s="73">
        <f t="shared" si="9"/>
        <v>82.10184325215685</v>
      </c>
      <c r="K87" s="55">
        <f t="shared" si="14"/>
        <v>354079.26000000024</v>
      </c>
      <c r="L87" s="63"/>
      <c r="M87" s="63">
        <v>400000</v>
      </c>
      <c r="N87" s="63">
        <v>588000</v>
      </c>
      <c r="O87" s="63"/>
      <c r="P87" s="63">
        <f>-28017.71+600000</f>
        <v>571982.29</v>
      </c>
      <c r="Q87" s="63">
        <v>65000</v>
      </c>
      <c r="R87" s="63">
        <f>600000-65000-181682.15</f>
        <v>353317.85</v>
      </c>
      <c r="S87" s="63"/>
      <c r="T87" s="63"/>
      <c r="U87" s="63"/>
      <c r="V87" s="63"/>
      <c r="W87" s="63">
        <f>28017.71+181682.15</f>
        <v>209699.86</v>
      </c>
      <c r="X87" s="63">
        <f t="shared" si="15"/>
        <v>2188000</v>
      </c>
      <c r="Y87" s="75">
        <f t="shared" si="8"/>
        <v>0</v>
      </c>
    </row>
    <row r="88" spans="1:25" s="16" customFormat="1" ht="39.75" customHeight="1">
      <c r="A88" s="1"/>
      <c r="B88" s="29"/>
      <c r="C88" s="59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72317.85+39619.35</f>
        <v>111937.20000000001</v>
      </c>
      <c r="I88" s="49">
        <f>H88/D88*100</f>
        <v>44.06976377952756</v>
      </c>
      <c r="J88" s="73">
        <f t="shared" si="9"/>
        <v>44.06976377952756</v>
      </c>
      <c r="K88" s="55">
        <f t="shared" si="14"/>
        <v>142062.8</v>
      </c>
      <c r="L88" s="63"/>
      <c r="M88" s="63">
        <v>314000</v>
      </c>
      <c r="N88" s="63">
        <v>-60000</v>
      </c>
      <c r="O88" s="63">
        <f>940000-940000</f>
        <v>0</v>
      </c>
      <c r="P88" s="63">
        <f>-181682.15</f>
        <v>-181682.15</v>
      </c>
      <c r="Q88" s="63"/>
      <c r="R88" s="63">
        <f>181682.15</f>
        <v>181682.15</v>
      </c>
      <c r="S88" s="63"/>
      <c r="T88" s="63"/>
      <c r="U88" s="63"/>
      <c r="V88" s="63"/>
      <c r="W88" s="63">
        <f>181682.15-181682.15</f>
        <v>0</v>
      </c>
      <c r="X88" s="63">
        <f t="shared" si="15"/>
        <v>254000</v>
      </c>
      <c r="Y88" s="75">
        <f t="shared" si="8"/>
        <v>0</v>
      </c>
    </row>
    <row r="89" spans="1:25" s="16" customFormat="1" ht="39.75" customHeight="1">
      <c r="A89" s="1"/>
      <c r="B89" s="29"/>
      <c r="C89" s="59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</f>
        <v>8169452.62</v>
      </c>
      <c r="I89" s="49">
        <f>H89/D89*100</f>
        <v>51.059078875</v>
      </c>
      <c r="J89" s="73">
        <f t="shared" si="9"/>
        <v>99.77348094772839</v>
      </c>
      <c r="K89" s="55">
        <f t="shared" si="14"/>
        <v>18547.37999999989</v>
      </c>
      <c r="L89" s="63"/>
      <c r="M89" s="63"/>
      <c r="N89" s="63">
        <f>700000+418000+500000</f>
        <v>1618000</v>
      </c>
      <c r="O89" s="63"/>
      <c r="P89" s="63">
        <f>6400000</f>
        <v>6400000</v>
      </c>
      <c r="Q89" s="63">
        <f>170000</f>
        <v>170000</v>
      </c>
      <c r="R89" s="63"/>
      <c r="S89" s="63"/>
      <c r="T89" s="64">
        <f>649385.76</f>
        <v>649385.76</v>
      </c>
      <c r="U89" s="63">
        <f>3000000</f>
        <v>3000000</v>
      </c>
      <c r="V89" s="64">
        <v>3741261.78</v>
      </c>
      <c r="W89" s="64">
        <f>3421352.46-3000000</f>
        <v>421352.45999999996</v>
      </c>
      <c r="X89" s="63">
        <f t="shared" si="15"/>
        <v>16000000</v>
      </c>
      <c r="Y89" s="75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9"/>
      <c r="J90" s="73"/>
      <c r="K90" s="55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>
        <f>-137000</f>
        <v>-137000</v>
      </c>
      <c r="Q90" s="63"/>
      <c r="R90" s="63">
        <f>137000</f>
        <v>137000</v>
      </c>
      <c r="S90" s="63"/>
      <c r="T90" s="63"/>
      <c r="U90" s="63"/>
      <c r="V90" s="63"/>
      <c r="W90" s="63">
        <f>137000-137000</f>
        <v>0</v>
      </c>
      <c r="X90" s="63">
        <f t="shared" si="15"/>
        <v>137000</v>
      </c>
      <c r="Y90" s="75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9"/>
      <c r="J91" s="73">
        <f aca="true" t="shared" si="17" ref="J91:J104">H91/(L91+M91+N91+O91+P91+Q91+R91)*100</f>
        <v>0</v>
      </c>
      <c r="K91" s="55">
        <f t="shared" si="14"/>
        <v>390000</v>
      </c>
      <c r="L91" s="63"/>
      <c r="M91" s="63">
        <v>300000</v>
      </c>
      <c r="N91" s="63">
        <f>600000-500000</f>
        <v>100000</v>
      </c>
      <c r="O91" s="63"/>
      <c r="P91" s="63">
        <f>-192000-128000-80000</f>
        <v>-400000</v>
      </c>
      <c r="Q91" s="63">
        <v>128000</v>
      </c>
      <c r="R91" s="63">
        <f>70000+192000</f>
        <v>262000</v>
      </c>
      <c r="S91" s="63">
        <v>10000</v>
      </c>
      <c r="T91" s="63"/>
      <c r="U91" s="63"/>
      <c r="V91" s="63"/>
      <c r="W91" s="63">
        <f>192000-192000</f>
        <v>0</v>
      </c>
      <c r="X91" s="63">
        <f t="shared" si="15"/>
        <v>400000</v>
      </c>
      <c r="Y91" s="75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9"/>
      <c r="J92" s="73"/>
      <c r="K92" s="55">
        <f t="shared" si="14"/>
        <v>0</v>
      </c>
      <c r="L92" s="63"/>
      <c r="M92" s="63">
        <v>248000</v>
      </c>
      <c r="N92" s="63"/>
      <c r="O92" s="63"/>
      <c r="P92" s="63">
        <f>-167000-81000</f>
        <v>-248000</v>
      </c>
      <c r="Q92" s="63"/>
      <c r="R92" s="63"/>
      <c r="S92" s="63">
        <v>71000</v>
      </c>
      <c r="T92" s="63">
        <v>10000</v>
      </c>
      <c r="U92" s="63"/>
      <c r="V92" s="63"/>
      <c r="W92" s="63">
        <f>167000</f>
        <v>167000</v>
      </c>
      <c r="X92" s="63">
        <f t="shared" si="15"/>
        <v>248000</v>
      </c>
      <c r="Y92" s="75">
        <f t="shared" si="16"/>
        <v>0</v>
      </c>
    </row>
    <row r="93" spans="1:25" s="16" customFormat="1" ht="40.5" customHeight="1">
      <c r="A93" s="1"/>
      <c r="B93" s="29"/>
      <c r="C93" s="59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9"/>
      <c r="J93" s="73">
        <f t="shared" si="17"/>
        <v>0</v>
      </c>
      <c r="K93" s="55">
        <f t="shared" si="14"/>
        <v>2443000</v>
      </c>
      <c r="L93" s="63"/>
      <c r="M93" s="63"/>
      <c r="N93" s="63"/>
      <c r="O93" s="63">
        <v>20000</v>
      </c>
      <c r="P93" s="63"/>
      <c r="Q93" s="63">
        <f>6490000-2065000</f>
        <v>4425000</v>
      </c>
      <c r="R93" s="63">
        <f>65000-2067000</f>
        <v>-2002000</v>
      </c>
      <c r="S93" s="63">
        <f>6490000+235000</f>
        <v>6725000</v>
      </c>
      <c r="T93" s="63">
        <f>470000</f>
        <v>470000</v>
      </c>
      <c r="U93" s="63">
        <f>1000000+507000</f>
        <v>1507000</v>
      </c>
      <c r="V93" s="63">
        <v>1000000</v>
      </c>
      <c r="W93" s="63">
        <f>855000</f>
        <v>855000</v>
      </c>
      <c r="X93" s="63">
        <f t="shared" si="15"/>
        <v>13000000</v>
      </c>
      <c r="Y93" s="75">
        <f t="shared" si="16"/>
        <v>0</v>
      </c>
    </row>
    <row r="94" spans="1:25" s="16" customFormat="1" ht="40.5" customHeight="1">
      <c r="A94" s="1"/>
      <c r="B94" s="29"/>
      <c r="C94" s="59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9">
        <f>H94/D94*100</f>
        <v>3.9678845778360436</v>
      </c>
      <c r="J94" s="73">
        <f t="shared" si="17"/>
        <v>4.87968241164766</v>
      </c>
      <c r="K94" s="55">
        <f t="shared" si="14"/>
        <v>2772950</v>
      </c>
      <c r="L94" s="63"/>
      <c r="M94" s="63"/>
      <c r="N94" s="63"/>
      <c r="O94" s="63"/>
      <c r="P94" s="63">
        <f>120000-747.37+23000</f>
        <v>142252.63</v>
      </c>
      <c r="Q94" s="63">
        <f>140000-23000+2515950</f>
        <v>2632950</v>
      </c>
      <c r="R94" s="63">
        <v>140000</v>
      </c>
      <c r="S94" s="63"/>
      <c r="T94" s="63">
        <v>669150</v>
      </c>
      <c r="U94" s="63"/>
      <c r="V94" s="63"/>
      <c r="W94" s="63">
        <f>747.37</f>
        <v>747.37</v>
      </c>
      <c r="X94" s="63">
        <f t="shared" si="15"/>
        <v>3585100</v>
      </c>
      <c r="Y94" s="75">
        <f t="shared" si="16"/>
        <v>0</v>
      </c>
    </row>
    <row r="95" spans="1:25" s="16" customFormat="1" ht="40.5" customHeight="1">
      <c r="A95" s="1"/>
      <c r="B95" s="29"/>
      <c r="C95" s="59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9">
        <f>H95/D95*100</f>
        <v>36.711</v>
      </c>
      <c r="J95" s="73">
        <f t="shared" si="17"/>
        <v>52.195734597156395</v>
      </c>
      <c r="K95" s="55">
        <f t="shared" si="14"/>
        <v>100867</v>
      </c>
      <c r="L95" s="63"/>
      <c r="M95" s="63"/>
      <c r="N95" s="63"/>
      <c r="O95" s="63"/>
      <c r="P95" s="63">
        <v>111000</v>
      </c>
      <c r="Q95" s="63"/>
      <c r="R95" s="63">
        <f>100000-100000+100000</f>
        <v>100000</v>
      </c>
      <c r="S95" s="63">
        <f>100000-11000</f>
        <v>89000</v>
      </c>
      <c r="T95" s="63">
        <f>100000-100000</f>
        <v>0</v>
      </c>
      <c r="U95" s="63"/>
      <c r="V95" s="63"/>
      <c r="W95" s="63"/>
      <c r="X95" s="63">
        <f t="shared" si="15"/>
        <v>300000</v>
      </c>
      <c r="Y95" s="75">
        <f t="shared" si="16"/>
        <v>0</v>
      </c>
    </row>
    <row r="96" spans="1:25" s="16" customFormat="1" ht="40.5" customHeight="1">
      <c r="A96" s="1"/>
      <c r="B96" s="29"/>
      <c r="C96" s="59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9">
        <f>H96/D96*100</f>
        <v>36.632333333333335</v>
      </c>
      <c r="J96" s="73">
        <f t="shared" si="17"/>
        <v>99.90636363636364</v>
      </c>
      <c r="K96" s="55">
        <f t="shared" si="14"/>
        <v>103</v>
      </c>
      <c r="L96" s="63"/>
      <c r="M96" s="63"/>
      <c r="N96" s="63"/>
      <c r="O96" s="63"/>
      <c r="P96" s="63">
        <v>110000</v>
      </c>
      <c r="Q96" s="63"/>
      <c r="R96" s="63"/>
      <c r="S96" s="63">
        <f>100000-100000</f>
        <v>0</v>
      </c>
      <c r="T96" s="63">
        <f>100000-10000</f>
        <v>90000</v>
      </c>
      <c r="U96" s="63">
        <v>100000</v>
      </c>
      <c r="V96" s="63"/>
      <c r="W96" s="63"/>
      <c r="X96" s="63">
        <f t="shared" si="15"/>
        <v>300000</v>
      </c>
      <c r="Y96" s="75">
        <f t="shared" si="16"/>
        <v>0</v>
      </c>
    </row>
    <row r="97" spans="1:25" s="16" customFormat="1" ht="40.5" customHeight="1">
      <c r="A97" s="1"/>
      <c r="B97" s="29"/>
      <c r="C97" s="59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9">
        <f>H97/D97*100</f>
        <v>25.982451672862457</v>
      </c>
      <c r="J97" s="73">
        <f t="shared" si="17"/>
        <v>40.0531776504298</v>
      </c>
      <c r="K97" s="55">
        <f t="shared" si="14"/>
        <v>209214.41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75">
        <f t="shared" si="16"/>
        <v>0</v>
      </c>
    </row>
    <row r="98" spans="1:25" s="16" customFormat="1" ht="21" customHeight="1">
      <c r="A98" s="1"/>
      <c r="B98" s="29"/>
      <c r="C98" s="59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9"/>
      <c r="J98" s="73">
        <f t="shared" si="17"/>
        <v>0</v>
      </c>
      <c r="K98" s="55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75">
        <f t="shared" si="16"/>
        <v>0</v>
      </c>
    </row>
    <row r="99" spans="1:25" s="16" customFormat="1" ht="26.25" customHeight="1">
      <c r="A99" s="1"/>
      <c r="B99" s="29"/>
      <c r="C99" s="59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9"/>
      <c r="J99" s="73"/>
      <c r="K99" s="55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75">
        <f t="shared" si="16"/>
        <v>0</v>
      </c>
    </row>
    <row r="100" spans="1:25" s="16" customFormat="1" ht="22.5" customHeight="1">
      <c r="A100" s="1"/>
      <c r="B100" s="29"/>
      <c r="C100" s="60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9"/>
      <c r="J100" s="73"/>
      <c r="K100" s="55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75">
        <f t="shared" si="16"/>
        <v>0</v>
      </c>
    </row>
    <row r="101" spans="1:25" s="16" customFormat="1" ht="22.5" customHeight="1">
      <c r="A101" s="1"/>
      <c r="B101" s="29"/>
      <c r="C101" s="59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9"/>
      <c r="J101" s="73"/>
      <c r="K101" s="55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>
        <v>1081074.46</v>
      </c>
      <c r="W101" s="63">
        <v>918925.54</v>
      </c>
      <c r="X101" s="63">
        <f t="shared" si="15"/>
        <v>2050000</v>
      </c>
      <c r="Y101" s="75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93314927.05</v>
      </c>
      <c r="I102" s="47">
        <f>H102/D102*100</f>
        <v>47.810575758307785</v>
      </c>
      <c r="J102" s="73">
        <f t="shared" si="17"/>
        <v>76.09098076952668</v>
      </c>
      <c r="K102" s="55">
        <f t="shared" si="14"/>
        <v>29321062.27000001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5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5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5">
        <f t="shared" si="14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9:I49"/>
    <mergeCell ref="L4:L5"/>
    <mergeCell ref="K4:K5"/>
    <mergeCell ref="J4:J6"/>
    <mergeCell ref="J10:J14"/>
    <mergeCell ref="J15:J22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2016-07-18T12:45:35Z</dcterms:modified>
  <cp:category/>
  <cp:version/>
  <cp:contentType/>
  <cp:contentStatus/>
</cp:coreProperties>
</file>